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10" windowWidth="15120" windowHeight="8010"/>
  </bookViews>
  <sheets>
    <sheet name="на 12.12.2014" sheetId="6" r:id="rId1"/>
  </sheets>
  <definedNames>
    <definedName name="_xlnm.Print_Titles" localSheetId="0">'на 12.12.2014'!$4:$4</definedName>
  </definedNames>
  <calcPr calcId="125725"/>
</workbook>
</file>

<file path=xl/calcChain.xml><?xml version="1.0" encoding="utf-8"?>
<calcChain xmlns="http://schemas.openxmlformats.org/spreadsheetml/2006/main">
  <c r="E75" i="6"/>
  <c r="G75" s="1"/>
  <c r="D75"/>
  <c r="G74"/>
  <c r="F74"/>
  <c r="G73"/>
  <c r="F73"/>
  <c r="F75" s="1"/>
  <c r="F69"/>
  <c r="D69"/>
  <c r="G69" s="1"/>
  <c r="E68"/>
  <c r="G68" s="1"/>
  <c r="D68"/>
  <c r="F68" s="1"/>
  <c r="E67"/>
  <c r="G67" s="1"/>
  <c r="D67"/>
  <c r="F67" s="1"/>
  <c r="E66"/>
  <c r="G66" s="1"/>
  <c r="D66"/>
  <c r="F66" s="1"/>
  <c r="E65"/>
  <c r="G65" s="1"/>
  <c r="D65"/>
  <c r="F65" s="1"/>
  <c r="E64"/>
  <c r="G64" s="1"/>
  <c r="D64"/>
  <c r="F64" s="1"/>
  <c r="E63"/>
  <c r="G63" s="1"/>
  <c r="D63"/>
  <c r="F63" s="1"/>
  <c r="E62"/>
  <c r="G62" s="1"/>
  <c r="D62"/>
  <c r="D61"/>
  <c r="D70" s="1"/>
  <c r="D57"/>
  <c r="G57" s="1"/>
  <c r="D56"/>
  <c r="G56" s="1"/>
  <c r="F55"/>
  <c r="D55"/>
  <c r="G55" s="1"/>
  <c r="D54"/>
  <c r="G54" s="1"/>
  <c r="E53"/>
  <c r="D53"/>
  <c r="F53" s="1"/>
  <c r="E52"/>
  <c r="D52"/>
  <c r="F52" s="1"/>
  <c r="D51"/>
  <c r="G51" s="1"/>
  <c r="D50"/>
  <c r="G50" s="1"/>
  <c r="D49"/>
  <c r="G49" s="1"/>
  <c r="E48"/>
  <c r="G48" s="1"/>
  <c r="D48"/>
  <c r="F48" s="1"/>
  <c r="D47"/>
  <c r="G47" s="1"/>
  <c r="D46"/>
  <c r="G46" s="1"/>
  <c r="E45"/>
  <c r="G45" s="1"/>
  <c r="D45"/>
  <c r="F45" s="1"/>
  <c r="E44"/>
  <c r="G44" s="1"/>
  <c r="D44"/>
  <c r="F44" s="1"/>
  <c r="D43"/>
  <c r="G43" s="1"/>
  <c r="E42"/>
  <c r="D42"/>
  <c r="F42" s="1"/>
  <c r="E41"/>
  <c r="G41" s="1"/>
  <c r="D41"/>
  <c r="F41" s="1"/>
  <c r="E40"/>
  <c r="G40" s="1"/>
  <c r="D40"/>
  <c r="F40" s="1"/>
  <c r="E39"/>
  <c r="G39" s="1"/>
  <c r="D39"/>
  <c r="F39" s="1"/>
  <c r="E38"/>
  <c r="E58" s="1"/>
  <c r="G58" s="1"/>
  <c r="D38"/>
  <c r="D58" s="1"/>
  <c r="D34"/>
  <c r="F34" s="1"/>
  <c r="E33"/>
  <c r="D33"/>
  <c r="F33" s="1"/>
  <c r="E32"/>
  <c r="D32"/>
  <c r="F32" s="1"/>
  <c r="E31"/>
  <c r="D31"/>
  <c r="F31" s="1"/>
  <c r="E30"/>
  <c r="G30" s="1"/>
  <c r="D30"/>
  <c r="F30" s="1"/>
  <c r="E29"/>
  <c r="G29" s="1"/>
  <c r="D29"/>
  <c r="F29" s="1"/>
  <c r="D28"/>
  <c r="G28" s="1"/>
  <c r="E27"/>
  <c r="D27"/>
  <c r="F27" s="1"/>
  <c r="E26"/>
  <c r="G26" s="1"/>
  <c r="D26"/>
  <c r="F26" s="1"/>
  <c r="E25"/>
  <c r="E35" s="1"/>
  <c r="D25"/>
  <c r="D35" s="1"/>
  <c r="D21" s="1"/>
  <c r="G20"/>
  <c r="F20"/>
  <c r="G19"/>
  <c r="F19"/>
  <c r="G17"/>
  <c r="F17"/>
  <c r="G16"/>
  <c r="F16"/>
  <c r="G15"/>
  <c r="F15"/>
  <c r="G14"/>
  <c r="F14"/>
  <c r="G13"/>
  <c r="F13"/>
  <c r="G12"/>
  <c r="F12"/>
  <c r="G11"/>
  <c r="F11"/>
  <c r="G10"/>
  <c r="F10"/>
  <c r="F8"/>
  <c r="E8"/>
  <c r="D8"/>
  <c r="G7"/>
  <c r="F7"/>
  <c r="G6"/>
  <c r="F6"/>
  <c r="G27" l="1"/>
  <c r="G42"/>
  <c r="F49"/>
  <c r="G8"/>
  <c r="G31"/>
  <c r="G32"/>
  <c r="G33"/>
  <c r="F46"/>
  <c r="F51"/>
  <c r="G52"/>
  <c r="G53"/>
  <c r="F57"/>
  <c r="F62"/>
  <c r="G35"/>
  <c r="G25"/>
  <c r="F28"/>
  <c r="G34"/>
  <c r="G38"/>
  <c r="F43"/>
  <c r="F47"/>
  <c r="F50"/>
  <c r="F54"/>
  <c r="F56"/>
  <c r="F61"/>
  <c r="E70"/>
  <c r="G70" s="1"/>
  <c r="F25"/>
  <c r="F35" s="1"/>
  <c r="F38"/>
  <c r="F58" s="1"/>
  <c r="G61"/>
  <c r="F70" l="1"/>
  <c r="F21" s="1"/>
  <c r="E21"/>
  <c r="G21" s="1"/>
</calcChain>
</file>

<file path=xl/sharedStrings.xml><?xml version="1.0" encoding="utf-8"?>
<sst xmlns="http://schemas.openxmlformats.org/spreadsheetml/2006/main" count="154" uniqueCount="150">
  <si>
    <t>план год</t>
  </si>
  <si>
    <t>наименование показателя</t>
  </si>
  <si>
    <t>День Оленя</t>
  </si>
  <si>
    <t>Закон "Об оленеводстве",</t>
  </si>
  <si>
    <t>в том числе</t>
  </si>
  <si>
    <t>еж.соц.выплаты</t>
  </si>
  <si>
    <t>средства гигиены для нов.</t>
  </si>
  <si>
    <t>ежег.вып., кот назн. пенсия</t>
  </si>
  <si>
    <t>студенты</t>
  </si>
  <si>
    <t>аптечки</t>
  </si>
  <si>
    <t>мед усл. для оф.-е разр.-я на оружие</t>
  </si>
  <si>
    <t>нарколог.пом.</t>
  </si>
  <si>
    <t>выплаты на каждого ребёнка</t>
  </si>
  <si>
    <t>ГП "Развитие гос.гр.службы НАО"</t>
  </si>
  <si>
    <t>Обеспечение дровами</t>
  </si>
  <si>
    <t xml:space="preserve">ГП "Сохранение и развитие КМНС в НАО", </t>
  </si>
  <si>
    <t>номер мер-ия</t>
  </si>
  <si>
    <t>пункт мер-ия</t>
  </si>
  <si>
    <t>98.00.01</t>
  </si>
  <si>
    <t>98.00.03</t>
  </si>
  <si>
    <t>98.00.08</t>
  </si>
  <si>
    <t>98.00.12</t>
  </si>
  <si>
    <t>98.00.37</t>
  </si>
  <si>
    <t>98.00.04</t>
  </si>
  <si>
    <t>98.00.02</t>
  </si>
  <si>
    <t>98.00.15</t>
  </si>
  <si>
    <t>98.00.16</t>
  </si>
  <si>
    <t>98.00.17</t>
  </si>
  <si>
    <t>98.00.21</t>
  </si>
  <si>
    <t>98.00.22</t>
  </si>
  <si>
    <t>98.00.09</t>
  </si>
  <si>
    <t>98.00.11</t>
  </si>
  <si>
    <t>1.1.1</t>
  </si>
  <si>
    <t>семинар этносоц.-ого исслед.</t>
  </si>
  <si>
    <t>1.1.2.</t>
  </si>
  <si>
    <t>1.1.3.</t>
  </si>
  <si>
    <t>научно-практ конф. Развитие оленеводства в Арктике</t>
  </si>
  <si>
    <t>организ.этносоц.-ого исслед-я и создание информац. карт</t>
  </si>
  <si>
    <t>1.2.</t>
  </si>
  <si>
    <t>создание информац. системы по мод.и прогн. социально-эконом.развития МНС</t>
  </si>
  <si>
    <t>98.00.05</t>
  </si>
  <si>
    <t>2.1.</t>
  </si>
  <si>
    <t>приобретение материалов для обновления кочевого жилья</t>
  </si>
  <si>
    <t>2.4.</t>
  </si>
  <si>
    <t>проведение семинара по правовому информированию и просвещению для предст.общин</t>
  </si>
  <si>
    <t>3.4.</t>
  </si>
  <si>
    <t>организация рейсов с целью вывоза студентов</t>
  </si>
  <si>
    <t>98.00.32</t>
  </si>
  <si>
    <t>98.00.34</t>
  </si>
  <si>
    <t>98.00.36</t>
  </si>
  <si>
    <t>98.00.38</t>
  </si>
  <si>
    <t>98.00.39</t>
  </si>
  <si>
    <t>98.00.40</t>
  </si>
  <si>
    <t>98.00.41</t>
  </si>
  <si>
    <t>98.00.42</t>
  </si>
  <si>
    <t>98.00.43</t>
  </si>
  <si>
    <t>98.00.44</t>
  </si>
  <si>
    <t>5.1.</t>
  </si>
  <si>
    <t>годовая подписка для олен. хоз.-в</t>
  </si>
  <si>
    <t>участие делегации в ярмарке сокровища севера</t>
  </si>
  <si>
    <t>4.1.4.</t>
  </si>
  <si>
    <t>участие в Фестивале творчества КМНС, Сибири и Д.Востока</t>
  </si>
  <si>
    <t>4.1.5</t>
  </si>
  <si>
    <t>4.2.1.</t>
  </si>
  <si>
    <t>участие в с тажировках мастеров народных промыслов</t>
  </si>
  <si>
    <t>4.2.2.</t>
  </si>
  <si>
    <t>помощь в проведении Дня оленя в  ямб-то</t>
  </si>
  <si>
    <t>4.2.12.</t>
  </si>
  <si>
    <t>25-летие ясавэй</t>
  </si>
  <si>
    <t>4.2.14.</t>
  </si>
  <si>
    <t>участие в семинаре переработка продукции оленеводства</t>
  </si>
  <si>
    <t>4.2.16.</t>
  </si>
  <si>
    <t>80-летие М.Я. Бармич</t>
  </si>
  <si>
    <t>5.2.</t>
  </si>
  <si>
    <t>издание журнала</t>
  </si>
  <si>
    <t>5.3.</t>
  </si>
  <si>
    <t>издание вестника</t>
  </si>
  <si>
    <t>98.00.46</t>
  </si>
  <si>
    <t>98.00.47</t>
  </si>
  <si>
    <t>98.00.48</t>
  </si>
  <si>
    <t>98.00.49</t>
  </si>
  <si>
    <t>98.00.50</t>
  </si>
  <si>
    <t>98.00.51</t>
  </si>
  <si>
    <t>98.00.52</t>
  </si>
  <si>
    <t>98.00.53</t>
  </si>
  <si>
    <t>98.00.54</t>
  </si>
  <si>
    <t>7.1.</t>
  </si>
  <si>
    <t>окружной семинар педагогов, обучающих ненецкому языку</t>
  </si>
  <si>
    <t>7.2.</t>
  </si>
  <si>
    <t>участие преп.ненец.яз. во всероссийском конкурсе учителей</t>
  </si>
  <si>
    <t>7.3.1.</t>
  </si>
  <si>
    <t>окружной семинар учителей ненецкого языка</t>
  </si>
  <si>
    <t>7.3.2.</t>
  </si>
  <si>
    <t>проведение круглого стола</t>
  </si>
  <si>
    <t>7.3.3.</t>
  </si>
  <si>
    <t>конкурс лучший портфолио учителя родного языка</t>
  </si>
  <si>
    <t>7.3.4.</t>
  </si>
  <si>
    <t>изг.нагр.атриб. Для провед.Дней ненецкой письменности</t>
  </si>
  <si>
    <t>3.1.</t>
  </si>
  <si>
    <t>прох.мед. с целью труд.</t>
  </si>
  <si>
    <t>3.3.</t>
  </si>
  <si>
    <t>мед.освид.для оф. разреш. на хран. и нош. оружия, с целью труд, нарколог.пом</t>
  </si>
  <si>
    <t>6.1.1.</t>
  </si>
  <si>
    <t>Кубок НАО</t>
  </si>
  <si>
    <t>6.1.2.</t>
  </si>
  <si>
    <t>Первенство и Чемп. НАО</t>
  </si>
  <si>
    <t>6.1.3.</t>
  </si>
  <si>
    <t>Кубок России</t>
  </si>
  <si>
    <t>6.1.4.</t>
  </si>
  <si>
    <t>Первенство и Чемп. России</t>
  </si>
  <si>
    <t>6.2.1.</t>
  </si>
  <si>
    <t>Самый быстрый</t>
  </si>
  <si>
    <t>День Ворона</t>
  </si>
  <si>
    <t>6.2.3.</t>
  </si>
  <si>
    <t>6.2.4.</t>
  </si>
  <si>
    <t>помощь олен.хоз. при провдении спорт. сост. среди олен.</t>
  </si>
  <si>
    <t>6.3.</t>
  </si>
  <si>
    <t>спорт. трен. сборы</t>
  </si>
  <si>
    <t>Содержание Управления</t>
  </si>
  <si>
    <t>участие в кубке ЯНАО</t>
  </si>
  <si>
    <t>98.00.60</t>
  </si>
  <si>
    <t>98.00.63</t>
  </si>
  <si>
    <t>98.00.62</t>
  </si>
  <si>
    <t>остатки от годовых</t>
  </si>
  <si>
    <t>025 0412 5259800 244</t>
  </si>
  <si>
    <t>98.00.61</t>
  </si>
  <si>
    <t>98.00.67</t>
  </si>
  <si>
    <t>приобретение чума и пошив нюка</t>
  </si>
  <si>
    <t>перевод, издание нпа на ненецком языке</t>
  </si>
  <si>
    <t>итого</t>
  </si>
  <si>
    <t>98.00.68</t>
  </si>
  <si>
    <t>98.00.69</t>
  </si>
  <si>
    <t>1.3.</t>
  </si>
  <si>
    <t>2.5.</t>
  </si>
  <si>
    <t>4.1.1.</t>
  </si>
  <si>
    <t>4.2.8.</t>
  </si>
  <si>
    <t>приобретение материалов для художников</t>
  </si>
  <si>
    <t>7.4.</t>
  </si>
  <si>
    <t>участие в олимпиаде по ненецкому языку в салехарде</t>
  </si>
  <si>
    <t>7.5.</t>
  </si>
  <si>
    <t>7.6.</t>
  </si>
  <si>
    <t>изготовление видеоролика</t>
  </si>
  <si>
    <t>025 0801 5259800 244</t>
  </si>
  <si>
    <t>закупка уч.пособия рожина и канюковой</t>
  </si>
  <si>
    <t>025 1102 5259800 244</t>
  </si>
  <si>
    <t>025 1003 5259800 244</t>
  </si>
  <si>
    <t>участие хаяра в "Кочевье Севера"</t>
  </si>
  <si>
    <t>% исполнения</t>
  </si>
  <si>
    <t>расход по 12.12.2014</t>
  </si>
  <si>
    <t>Исполнени бюджета по состоянию на 12.12.2014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</si>
</sst>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1" xfId="0" applyNumberFormat="1" applyFont="1" applyBorder="1"/>
    <xf numFmtId="0" fontId="1" fillId="0" borderId="1" xfId="0" applyFont="1" applyBorder="1"/>
    <xf numFmtId="49" fontId="1" fillId="0" borderId="0" xfId="0" applyNumberFormat="1" applyFont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49" fontId="0" fillId="0" borderId="0" xfId="0" applyNumberFormat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wrapText="1"/>
    </xf>
    <xf numFmtId="0" fontId="4" fillId="0" borderId="1" xfId="0" applyFont="1" applyBorder="1"/>
    <xf numFmtId="4" fontId="4" fillId="0" borderId="1" xfId="0" applyNumberFormat="1" applyFont="1" applyBorder="1"/>
    <xf numFmtId="0" fontId="4" fillId="0" borderId="1" xfId="0" applyFont="1" applyBorder="1" applyAlignment="1">
      <alignment wrapText="1"/>
    </xf>
    <xf numFmtId="4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/>
    <xf numFmtId="49" fontId="4" fillId="0" borderId="1" xfId="0" applyNumberFormat="1" applyFont="1" applyBorder="1"/>
    <xf numFmtId="49" fontId="1" fillId="0" borderId="1" xfId="0" applyNumberFormat="1" applyFont="1" applyBorder="1" applyAlignment="1">
      <alignment vertical="top"/>
    </xf>
    <xf numFmtId="49" fontId="4" fillId="0" borderId="1" xfId="0" applyNumberFormat="1" applyFont="1" applyBorder="1" applyAlignment="1">
      <alignment vertical="top"/>
    </xf>
    <xf numFmtId="49" fontId="1" fillId="0" borderId="1" xfId="0" applyNumberFormat="1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49" fontId="4" fillId="0" borderId="1" xfId="0" applyNumberFormat="1" applyFont="1" applyBorder="1" applyAlignment="1">
      <alignment wrapText="1"/>
    </xf>
    <xf numFmtId="4" fontId="1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vertical="top" wrapText="1"/>
    </xf>
    <xf numFmtId="9" fontId="1" fillId="0" borderId="1" xfId="0" applyNumberFormat="1" applyFont="1" applyBorder="1"/>
    <xf numFmtId="49" fontId="2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/>
    <xf numFmtId="49" fontId="1" fillId="0" borderId="0" xfId="0" applyNumberFormat="1" applyFont="1" applyBorder="1"/>
    <xf numFmtId="0" fontId="0" fillId="0" borderId="0" xfId="0" applyBorder="1"/>
    <xf numFmtId="49" fontId="1" fillId="0" borderId="0" xfId="0" applyNumberFormat="1" applyFont="1" applyBorder="1" applyAlignment="1">
      <alignment wrapText="1"/>
    </xf>
    <xf numFmtId="4" fontId="2" fillId="0" borderId="0" xfId="0" applyNumberFormat="1" applyFont="1" applyBorder="1"/>
    <xf numFmtId="4" fontId="1" fillId="0" borderId="0" xfId="0" applyNumberFormat="1" applyFont="1" applyBorder="1"/>
    <xf numFmtId="0" fontId="1" fillId="0" borderId="1" xfId="0" applyFont="1" applyFill="1" applyBorder="1" applyAlignment="1">
      <alignment horizontal="center" vertical="top" wrapText="1"/>
    </xf>
    <xf numFmtId="4" fontId="1" fillId="0" borderId="0" xfId="0" applyNumberFormat="1" applyFont="1" applyAlignment="1">
      <alignment wrapText="1"/>
    </xf>
    <xf numFmtId="14" fontId="1" fillId="0" borderId="0" xfId="0" applyNumberFormat="1" applyFont="1"/>
    <xf numFmtId="0" fontId="6" fillId="0" borderId="0" xfId="0" applyFont="1" applyAlignment="1">
      <alignment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87"/>
  <sheetViews>
    <sheetView tabSelected="1" topLeftCell="A70" zoomScaleNormal="100" workbookViewId="0">
      <selection activeCell="F87" sqref="F87"/>
    </sheetView>
  </sheetViews>
  <sheetFormatPr defaultRowHeight="14.5"/>
  <cols>
    <col min="1" max="1" width="6.453125" customWidth="1"/>
    <col min="2" max="2" width="7.1796875" customWidth="1"/>
    <col min="3" max="3" width="38.26953125" customWidth="1"/>
    <col min="4" max="4" width="20.6328125" customWidth="1"/>
    <col min="5" max="5" width="14.6328125" customWidth="1"/>
    <col min="6" max="6" width="14.81640625" customWidth="1"/>
  </cols>
  <sheetData>
    <row r="2" spans="1:7">
      <c r="A2" s="41" t="s">
        <v>149</v>
      </c>
      <c r="B2" s="41"/>
      <c r="C2" s="41"/>
      <c r="D2" s="41"/>
      <c r="E2" s="41"/>
      <c r="F2" s="41"/>
    </row>
    <row r="4" spans="1:7" ht="42">
      <c r="A4" s="6" t="s">
        <v>17</v>
      </c>
      <c r="B4" s="25" t="s">
        <v>16</v>
      </c>
      <c r="C4" s="6" t="s">
        <v>1</v>
      </c>
      <c r="D4" s="7" t="s">
        <v>0</v>
      </c>
      <c r="E4" s="6" t="s">
        <v>148</v>
      </c>
      <c r="F4" s="6" t="s">
        <v>123</v>
      </c>
      <c r="G4" s="37" t="s">
        <v>147</v>
      </c>
    </row>
    <row r="5" spans="1:7">
      <c r="A5" s="9"/>
      <c r="B5" s="9"/>
      <c r="C5" s="9"/>
      <c r="D5" s="9"/>
      <c r="E5" s="9"/>
      <c r="F5" s="9"/>
      <c r="G5" s="9"/>
    </row>
    <row r="6" spans="1:7">
      <c r="A6" s="9"/>
      <c r="B6" s="9"/>
      <c r="C6" s="4" t="s">
        <v>118</v>
      </c>
      <c r="D6" s="3">
        <v>21830900</v>
      </c>
      <c r="E6" s="3">
        <v>16964739.57</v>
      </c>
      <c r="F6" s="3">
        <f>D6-E6</f>
        <v>4866160.43</v>
      </c>
      <c r="G6" s="27">
        <f>E6/D6</f>
        <v>0.77709758049370392</v>
      </c>
    </row>
    <row r="7" spans="1:7">
      <c r="A7" s="9"/>
      <c r="B7" s="9"/>
      <c r="C7" s="4" t="s">
        <v>2</v>
      </c>
      <c r="D7" s="3">
        <v>12889900</v>
      </c>
      <c r="E7" s="3">
        <v>11671592.9</v>
      </c>
      <c r="F7" s="3">
        <f>D7-E7</f>
        <v>1218307.0999999996</v>
      </c>
      <c r="G7" s="27">
        <f t="shared" ref="G7:G70" si="0">E7/D7</f>
        <v>0.90548358792543004</v>
      </c>
    </row>
    <row r="8" spans="1:7">
      <c r="A8" s="9"/>
      <c r="B8" s="9"/>
      <c r="C8" s="4" t="s">
        <v>3</v>
      </c>
      <c r="D8" s="3">
        <f>SUM(D10:D17)</f>
        <v>21414300</v>
      </c>
      <c r="E8" s="3">
        <f t="shared" ref="E8:F8" si="1">SUM(E10:E17)</f>
        <v>19759346.98</v>
      </c>
      <c r="F8" s="3">
        <f t="shared" si="1"/>
        <v>1654953.0200000003</v>
      </c>
      <c r="G8" s="27">
        <f t="shared" si="0"/>
        <v>0.92271738884763921</v>
      </c>
    </row>
    <row r="9" spans="1:7">
      <c r="A9" s="9"/>
      <c r="B9" s="9"/>
      <c r="C9" s="4" t="s">
        <v>4</v>
      </c>
      <c r="D9" s="3"/>
      <c r="E9" s="3"/>
      <c r="F9" s="3"/>
      <c r="G9" s="27"/>
    </row>
    <row r="10" spans="1:7">
      <c r="A10" s="9"/>
      <c r="B10" s="9"/>
      <c r="C10" s="11" t="s">
        <v>5</v>
      </c>
      <c r="D10" s="12">
        <v>15868600</v>
      </c>
      <c r="E10" s="12">
        <v>14533198</v>
      </c>
      <c r="F10" s="12">
        <f t="shared" ref="F10:F17" si="2">D10-E10</f>
        <v>1335402</v>
      </c>
      <c r="G10" s="27">
        <f t="shared" si="0"/>
        <v>0.91584626243020806</v>
      </c>
    </row>
    <row r="11" spans="1:7">
      <c r="A11" s="9"/>
      <c r="B11" s="9"/>
      <c r="C11" s="11" t="s">
        <v>6</v>
      </c>
      <c r="D11" s="12">
        <v>108200</v>
      </c>
      <c r="E11" s="12">
        <v>0</v>
      </c>
      <c r="F11" s="12">
        <f t="shared" si="2"/>
        <v>108200</v>
      </c>
      <c r="G11" s="27">
        <f t="shared" si="0"/>
        <v>0</v>
      </c>
    </row>
    <row r="12" spans="1:7">
      <c r="A12" s="9"/>
      <c r="B12" s="9"/>
      <c r="C12" s="11" t="s">
        <v>7</v>
      </c>
      <c r="D12" s="12">
        <v>482300</v>
      </c>
      <c r="E12" s="12">
        <v>476712</v>
      </c>
      <c r="F12" s="12">
        <f t="shared" si="2"/>
        <v>5588</v>
      </c>
      <c r="G12" s="27">
        <f t="shared" si="0"/>
        <v>0.98841385030064277</v>
      </c>
    </row>
    <row r="13" spans="1:7">
      <c r="A13" s="9"/>
      <c r="B13" s="9"/>
      <c r="C13" s="11" t="s">
        <v>8</v>
      </c>
      <c r="D13" s="12">
        <v>411000</v>
      </c>
      <c r="E13" s="12">
        <v>368933.7</v>
      </c>
      <c r="F13" s="12">
        <f t="shared" si="2"/>
        <v>42066.299999999988</v>
      </c>
      <c r="G13" s="27">
        <f t="shared" si="0"/>
        <v>0.89764890510948903</v>
      </c>
    </row>
    <row r="14" spans="1:7">
      <c r="A14" s="9"/>
      <c r="B14" s="9"/>
      <c r="C14" s="13" t="s">
        <v>10</v>
      </c>
      <c r="D14" s="12">
        <v>10300</v>
      </c>
      <c r="E14" s="12">
        <v>0</v>
      </c>
      <c r="F14" s="12">
        <f t="shared" si="2"/>
        <v>10300</v>
      </c>
      <c r="G14" s="27">
        <f t="shared" si="0"/>
        <v>0</v>
      </c>
    </row>
    <row r="15" spans="1:7">
      <c r="A15" s="9"/>
      <c r="B15" s="9"/>
      <c r="C15" s="11" t="s">
        <v>9</v>
      </c>
      <c r="D15" s="12">
        <v>400000</v>
      </c>
      <c r="E15" s="12">
        <v>351000</v>
      </c>
      <c r="F15" s="12">
        <f t="shared" si="2"/>
        <v>49000</v>
      </c>
      <c r="G15" s="27">
        <f t="shared" si="0"/>
        <v>0.87749999999999995</v>
      </c>
    </row>
    <row r="16" spans="1:7">
      <c r="A16" s="9"/>
      <c r="B16" s="9"/>
      <c r="C16" s="11" t="s">
        <v>11</v>
      </c>
      <c r="D16" s="12">
        <v>20600</v>
      </c>
      <c r="E16" s="12">
        <v>0</v>
      </c>
      <c r="F16" s="12">
        <f t="shared" si="2"/>
        <v>20600</v>
      </c>
      <c r="G16" s="27">
        <f t="shared" si="0"/>
        <v>0</v>
      </c>
    </row>
    <row r="17" spans="1:7">
      <c r="A17" s="9"/>
      <c r="B17" s="9"/>
      <c r="C17" s="11" t="s">
        <v>12</v>
      </c>
      <c r="D17" s="12">
        <v>4113300</v>
      </c>
      <c r="E17" s="12">
        <v>4029503.28</v>
      </c>
      <c r="F17" s="12">
        <f t="shared" si="2"/>
        <v>83796.720000000205</v>
      </c>
      <c r="G17" s="27">
        <f t="shared" si="0"/>
        <v>0.97962786084165998</v>
      </c>
    </row>
    <row r="18" spans="1:7">
      <c r="A18" s="9"/>
      <c r="B18" s="9"/>
      <c r="C18" s="4"/>
      <c r="D18" s="14"/>
      <c r="E18" s="14"/>
      <c r="F18" s="3"/>
      <c r="G18" s="27"/>
    </row>
    <row r="19" spans="1:7" ht="27" customHeight="1">
      <c r="A19" s="9"/>
      <c r="B19" s="9"/>
      <c r="C19" s="15" t="s">
        <v>13</v>
      </c>
      <c r="D19" s="3">
        <v>32000</v>
      </c>
      <c r="E19" s="3">
        <v>5994.4</v>
      </c>
      <c r="F19" s="3">
        <f>D19-E19</f>
        <v>26005.599999999999</v>
      </c>
      <c r="G19" s="27">
        <f t="shared" si="0"/>
        <v>0.18732499999999999</v>
      </c>
    </row>
    <row r="20" spans="1:7">
      <c r="A20" s="9"/>
      <c r="B20" s="9"/>
      <c r="C20" s="4" t="s">
        <v>14</v>
      </c>
      <c r="D20" s="3">
        <v>12759200</v>
      </c>
      <c r="E20" s="3">
        <v>12759169.050000001</v>
      </c>
      <c r="F20" s="3">
        <f>D20-E20</f>
        <v>30.949999999254942</v>
      </c>
      <c r="G20" s="27">
        <f t="shared" si="0"/>
        <v>0.99999757429932912</v>
      </c>
    </row>
    <row r="21" spans="1:7" ht="28.5">
      <c r="A21" s="9"/>
      <c r="B21" s="9"/>
      <c r="C21" s="10" t="s">
        <v>15</v>
      </c>
      <c r="D21" s="3">
        <f>D35+D58+D70+D75</f>
        <v>26305400</v>
      </c>
      <c r="E21" s="3">
        <f t="shared" ref="E21:F21" si="3">E35+E58+E70+E75</f>
        <v>14237486.530000001</v>
      </c>
      <c r="F21" s="3">
        <f t="shared" si="3"/>
        <v>12067913.469999999</v>
      </c>
      <c r="G21" s="27">
        <f t="shared" si="0"/>
        <v>0.54123816896910903</v>
      </c>
    </row>
    <row r="22" spans="1:7">
      <c r="A22" s="9"/>
      <c r="B22" s="9"/>
      <c r="C22" s="4" t="s">
        <v>4</v>
      </c>
      <c r="D22" s="3"/>
      <c r="E22" s="3"/>
      <c r="F22" s="27"/>
      <c r="G22" s="27"/>
    </row>
    <row r="23" spans="1:7">
      <c r="A23" s="9"/>
      <c r="B23" s="9"/>
      <c r="C23" s="4"/>
      <c r="D23" s="3"/>
      <c r="E23" s="3"/>
      <c r="F23" s="27"/>
      <c r="G23" s="27"/>
    </row>
    <row r="24" spans="1:7">
      <c r="A24" s="9"/>
      <c r="B24" s="9"/>
      <c r="C24" s="28" t="s">
        <v>124</v>
      </c>
      <c r="D24" s="3"/>
      <c r="E24" s="3"/>
      <c r="F24" s="27"/>
      <c r="G24" s="27"/>
    </row>
    <row r="25" spans="1:7">
      <c r="A25" s="16" t="s">
        <v>32</v>
      </c>
      <c r="B25" s="17" t="s">
        <v>18</v>
      </c>
      <c r="C25" s="11" t="s">
        <v>33</v>
      </c>
      <c r="D25" s="12">
        <f>45400+14000</f>
        <v>59400</v>
      </c>
      <c r="E25" s="12">
        <f>45384.6+13926</f>
        <v>59310.6</v>
      </c>
      <c r="F25" s="12">
        <f t="shared" ref="F25:F34" si="4">D25-E25</f>
        <v>89.400000000001455</v>
      </c>
      <c r="G25" s="27">
        <f t="shared" si="0"/>
        <v>0.99849494949494944</v>
      </c>
    </row>
    <row r="26" spans="1:7" ht="26.5">
      <c r="A26" s="18" t="s">
        <v>34</v>
      </c>
      <c r="B26" s="19" t="s">
        <v>24</v>
      </c>
      <c r="C26" s="13" t="s">
        <v>37</v>
      </c>
      <c r="D26" s="12">
        <f>1396055.41+126944.59</f>
        <v>1523000</v>
      </c>
      <c r="E26" s="12">
        <f>641135.3+126944.59</f>
        <v>768079.89</v>
      </c>
      <c r="F26" s="12">
        <f t="shared" si="4"/>
        <v>754920.11</v>
      </c>
      <c r="G26" s="27">
        <f t="shared" si="0"/>
        <v>0.50432034799737357</v>
      </c>
    </row>
    <row r="27" spans="1:7" ht="26.5">
      <c r="A27" s="18" t="s">
        <v>35</v>
      </c>
      <c r="B27" s="19" t="s">
        <v>19</v>
      </c>
      <c r="C27" s="13" t="s">
        <v>36</v>
      </c>
      <c r="D27" s="12">
        <f>478100+515900+68700</f>
        <v>1062700</v>
      </c>
      <c r="E27" s="12">
        <f>0</f>
        <v>0</v>
      </c>
      <c r="F27" s="12">
        <f t="shared" si="4"/>
        <v>1062700</v>
      </c>
      <c r="G27" s="27">
        <f t="shared" si="0"/>
        <v>0</v>
      </c>
    </row>
    <row r="28" spans="1:7" ht="26.5">
      <c r="A28" s="18" t="s">
        <v>38</v>
      </c>
      <c r="B28" s="19" t="s">
        <v>23</v>
      </c>
      <c r="C28" s="13" t="s">
        <v>39</v>
      </c>
      <c r="D28" s="12">
        <f>3159000</f>
        <v>3159000</v>
      </c>
      <c r="E28" s="12">
        <v>0</v>
      </c>
      <c r="F28" s="12">
        <f t="shared" si="4"/>
        <v>3159000</v>
      </c>
      <c r="G28" s="27">
        <f t="shared" si="0"/>
        <v>0</v>
      </c>
    </row>
    <row r="29" spans="1:7" ht="26.5">
      <c r="A29" s="20" t="s">
        <v>41</v>
      </c>
      <c r="B29" s="21" t="s">
        <v>40</v>
      </c>
      <c r="C29" s="13" t="s">
        <v>42</v>
      </c>
      <c r="D29" s="12">
        <f>1137000</f>
        <v>1137000</v>
      </c>
      <c r="E29" s="12">
        <f>1136911.12</f>
        <v>1136911.1200000001</v>
      </c>
      <c r="F29" s="12">
        <f t="shared" si="4"/>
        <v>88.879999999888241</v>
      </c>
      <c r="G29" s="27">
        <f t="shared" si="0"/>
        <v>0.99992182937554974</v>
      </c>
    </row>
    <row r="30" spans="1:7" ht="39.5">
      <c r="A30" s="18" t="s">
        <v>43</v>
      </c>
      <c r="B30" s="19" t="s">
        <v>20</v>
      </c>
      <c r="C30" s="13" t="s">
        <v>44</v>
      </c>
      <c r="D30" s="12">
        <f>88700+67000+71100</f>
        <v>226800</v>
      </c>
      <c r="E30" s="12">
        <f>0</f>
        <v>0</v>
      </c>
      <c r="F30" s="12">
        <f t="shared" si="4"/>
        <v>226800</v>
      </c>
      <c r="G30" s="27">
        <f t="shared" si="0"/>
        <v>0</v>
      </c>
    </row>
    <row r="31" spans="1:7">
      <c r="A31" s="18" t="s">
        <v>45</v>
      </c>
      <c r="B31" s="19" t="s">
        <v>21</v>
      </c>
      <c r="C31" s="13" t="s">
        <v>46</v>
      </c>
      <c r="D31" s="12">
        <f>3036400</f>
        <v>3036400</v>
      </c>
      <c r="E31" s="12">
        <f>1983449.27</f>
        <v>1983449.27</v>
      </c>
      <c r="F31" s="12">
        <f t="shared" si="4"/>
        <v>1052950.73</v>
      </c>
      <c r="G31" s="27">
        <f t="shared" si="0"/>
        <v>0.65322397246739561</v>
      </c>
    </row>
    <row r="32" spans="1:7">
      <c r="A32" s="18" t="s">
        <v>57</v>
      </c>
      <c r="B32" s="19" t="s">
        <v>22</v>
      </c>
      <c r="C32" s="22" t="s">
        <v>58</v>
      </c>
      <c r="D32" s="12">
        <f>794500</f>
        <v>794500</v>
      </c>
      <c r="E32" s="12">
        <f>794500</f>
        <v>794500</v>
      </c>
      <c r="F32" s="12">
        <f t="shared" si="4"/>
        <v>0</v>
      </c>
      <c r="G32" s="27">
        <f t="shared" si="0"/>
        <v>1</v>
      </c>
    </row>
    <row r="33" spans="1:7">
      <c r="A33" s="16" t="s">
        <v>132</v>
      </c>
      <c r="B33" s="26" t="s">
        <v>120</v>
      </c>
      <c r="C33" s="24" t="s">
        <v>128</v>
      </c>
      <c r="D33" s="12">
        <f>547700</f>
        <v>547700</v>
      </c>
      <c r="E33" s="12">
        <f>313500</f>
        <v>313500</v>
      </c>
      <c r="F33" s="12">
        <f t="shared" si="4"/>
        <v>234200</v>
      </c>
      <c r="G33" s="27">
        <f t="shared" si="0"/>
        <v>0.57239364615665511</v>
      </c>
    </row>
    <row r="34" spans="1:7">
      <c r="A34" s="18" t="s">
        <v>133</v>
      </c>
      <c r="B34" s="26" t="s">
        <v>126</v>
      </c>
      <c r="C34" s="13" t="s">
        <v>127</v>
      </c>
      <c r="D34" s="12">
        <f>376700</f>
        <v>376700</v>
      </c>
      <c r="E34" s="12">
        <v>0</v>
      </c>
      <c r="F34" s="12">
        <f t="shared" si="4"/>
        <v>376700</v>
      </c>
      <c r="G34" s="27">
        <f t="shared" si="0"/>
        <v>0</v>
      </c>
    </row>
    <row r="35" spans="1:7">
      <c r="A35" s="18"/>
      <c r="B35" s="19"/>
      <c r="C35" s="29" t="s">
        <v>129</v>
      </c>
      <c r="D35" s="31">
        <f>SUM(D25:D34)</f>
        <v>11923200</v>
      </c>
      <c r="E35" s="31">
        <f t="shared" ref="E35:F35" si="5">SUM(E25:E34)</f>
        <v>5055750.88</v>
      </c>
      <c r="F35" s="31">
        <f t="shared" si="5"/>
        <v>6867449.1199999992</v>
      </c>
      <c r="G35" s="27">
        <f t="shared" si="0"/>
        <v>0.42402634192163174</v>
      </c>
    </row>
    <row r="36" spans="1:7">
      <c r="A36" s="18"/>
      <c r="B36" s="19"/>
      <c r="C36" s="13"/>
      <c r="D36" s="12"/>
      <c r="E36" s="12"/>
      <c r="F36" s="3"/>
      <c r="G36" s="27"/>
    </row>
    <row r="37" spans="1:7">
      <c r="A37" s="18"/>
      <c r="B37" s="19"/>
      <c r="C37" s="28" t="s">
        <v>142</v>
      </c>
      <c r="D37" s="12"/>
      <c r="E37" s="12"/>
      <c r="F37" s="3"/>
      <c r="G37" s="27"/>
    </row>
    <row r="38" spans="1:7">
      <c r="A38" s="18" t="s">
        <v>134</v>
      </c>
      <c r="B38" s="19" t="s">
        <v>25</v>
      </c>
      <c r="C38" s="13" t="s">
        <v>59</v>
      </c>
      <c r="D38" s="12">
        <f>290700+12500</f>
        <v>303200</v>
      </c>
      <c r="E38" s="12">
        <f>290700+12500</f>
        <v>303200</v>
      </c>
      <c r="F38" s="12">
        <f t="shared" ref="F38:F57" si="6">D38-E38</f>
        <v>0</v>
      </c>
      <c r="G38" s="27">
        <f t="shared" si="0"/>
        <v>1</v>
      </c>
    </row>
    <row r="39" spans="1:7" ht="26.5">
      <c r="A39" s="18" t="s">
        <v>60</v>
      </c>
      <c r="B39" s="19" t="s">
        <v>26</v>
      </c>
      <c r="C39" s="13" t="s">
        <v>61</v>
      </c>
      <c r="D39" s="12">
        <f>64000+73800</f>
        <v>137800</v>
      </c>
      <c r="E39" s="12">
        <f>63960+73728</f>
        <v>137688</v>
      </c>
      <c r="F39" s="12">
        <f t="shared" si="6"/>
        <v>112</v>
      </c>
      <c r="G39" s="27">
        <f t="shared" si="0"/>
        <v>0.99918722786647318</v>
      </c>
    </row>
    <row r="40" spans="1:7">
      <c r="A40" s="18" t="s">
        <v>62</v>
      </c>
      <c r="B40" s="19" t="s">
        <v>27</v>
      </c>
      <c r="C40" s="13" t="s">
        <v>146</v>
      </c>
      <c r="D40" s="12">
        <f>508400+360300</f>
        <v>868700</v>
      </c>
      <c r="E40" s="12">
        <f>508353+360288</f>
        <v>868641</v>
      </c>
      <c r="F40" s="12">
        <f t="shared" si="6"/>
        <v>59</v>
      </c>
      <c r="G40" s="27">
        <f t="shared" si="0"/>
        <v>0.99993208242200993</v>
      </c>
    </row>
    <row r="41" spans="1:7" ht="26.5">
      <c r="A41" s="18" t="s">
        <v>63</v>
      </c>
      <c r="B41" s="19" t="s">
        <v>28</v>
      </c>
      <c r="C41" s="13" t="s">
        <v>64</v>
      </c>
      <c r="D41" s="12">
        <f>63000+29900</f>
        <v>92900</v>
      </c>
      <c r="E41" s="12">
        <f>12990+9900</f>
        <v>22890</v>
      </c>
      <c r="F41" s="12">
        <f t="shared" si="6"/>
        <v>70010</v>
      </c>
      <c r="G41" s="27">
        <f t="shared" si="0"/>
        <v>0.24639397201291713</v>
      </c>
    </row>
    <row r="42" spans="1:7">
      <c r="A42" s="16" t="s">
        <v>65</v>
      </c>
      <c r="B42" s="17" t="s">
        <v>29</v>
      </c>
      <c r="C42" s="13" t="s">
        <v>66</v>
      </c>
      <c r="D42" s="12">
        <f>158000</f>
        <v>158000</v>
      </c>
      <c r="E42" s="12">
        <f>157999.98</f>
        <v>157999.98000000001</v>
      </c>
      <c r="F42" s="12">
        <f t="shared" si="6"/>
        <v>1.9999999989522621E-2</v>
      </c>
      <c r="G42" s="27">
        <f t="shared" si="0"/>
        <v>0.99999987341772156</v>
      </c>
    </row>
    <row r="43" spans="1:7">
      <c r="A43" s="16" t="s">
        <v>67</v>
      </c>
      <c r="B43" s="17" t="s">
        <v>47</v>
      </c>
      <c r="C43" s="13" t="s">
        <v>68</v>
      </c>
      <c r="D43" s="12">
        <f>73300+150000+1100</f>
        <v>224400</v>
      </c>
      <c r="E43" s="12">
        <v>0</v>
      </c>
      <c r="F43" s="12">
        <f t="shared" si="6"/>
        <v>224400</v>
      </c>
      <c r="G43" s="27">
        <f t="shared" si="0"/>
        <v>0</v>
      </c>
    </row>
    <row r="44" spans="1:7" ht="26.5">
      <c r="A44" s="18" t="s">
        <v>69</v>
      </c>
      <c r="B44" s="19" t="s">
        <v>48</v>
      </c>
      <c r="C44" s="13" t="s">
        <v>70</v>
      </c>
      <c r="D44" s="12">
        <f>35600+4400</f>
        <v>40000</v>
      </c>
      <c r="E44" s="12">
        <f>35600+4350</f>
        <v>39950</v>
      </c>
      <c r="F44" s="12">
        <f t="shared" si="6"/>
        <v>50</v>
      </c>
      <c r="G44" s="27">
        <f t="shared" si="0"/>
        <v>0.99875000000000003</v>
      </c>
    </row>
    <row r="45" spans="1:7">
      <c r="A45" s="16" t="s">
        <v>71</v>
      </c>
      <c r="B45" s="17" t="s">
        <v>49</v>
      </c>
      <c r="C45" s="13" t="s">
        <v>72</v>
      </c>
      <c r="D45" s="12">
        <f>16660+64000+19740</f>
        <v>100400</v>
      </c>
      <c r="E45" s="12">
        <f>16660+64000+19611.5</f>
        <v>100271.5</v>
      </c>
      <c r="F45" s="12">
        <f t="shared" si="6"/>
        <v>128.5</v>
      </c>
      <c r="G45" s="27">
        <f t="shared" si="0"/>
        <v>0.99872011952191231</v>
      </c>
    </row>
    <row r="46" spans="1:7">
      <c r="A46" s="16" t="s">
        <v>73</v>
      </c>
      <c r="B46" s="17" t="s">
        <v>50</v>
      </c>
      <c r="C46" s="13" t="s">
        <v>74</v>
      </c>
      <c r="D46" s="12">
        <f>1274400</f>
        <v>1274400</v>
      </c>
      <c r="E46" s="12">
        <v>0</v>
      </c>
      <c r="F46" s="12">
        <f t="shared" si="6"/>
        <v>1274400</v>
      </c>
      <c r="G46" s="27">
        <f t="shared" si="0"/>
        <v>0</v>
      </c>
    </row>
    <row r="47" spans="1:7">
      <c r="A47" s="16" t="s">
        <v>75</v>
      </c>
      <c r="B47" s="17" t="s">
        <v>51</v>
      </c>
      <c r="C47" s="13" t="s">
        <v>76</v>
      </c>
      <c r="D47" s="12">
        <f>665800</f>
        <v>665800</v>
      </c>
      <c r="E47" s="12">
        <v>0</v>
      </c>
      <c r="F47" s="12">
        <f t="shared" si="6"/>
        <v>665800</v>
      </c>
      <c r="G47" s="27">
        <f t="shared" si="0"/>
        <v>0</v>
      </c>
    </row>
    <row r="48" spans="1:7" ht="26.5">
      <c r="A48" s="16" t="s">
        <v>86</v>
      </c>
      <c r="B48" s="17" t="s">
        <v>80</v>
      </c>
      <c r="C48" s="13" t="s">
        <v>87</v>
      </c>
      <c r="D48" s="12">
        <f>114500+155800+39500</f>
        <v>309800</v>
      </c>
      <c r="E48" s="12">
        <f>0</f>
        <v>0</v>
      </c>
      <c r="F48" s="12">
        <f t="shared" si="6"/>
        <v>309800</v>
      </c>
      <c r="G48" s="27">
        <f t="shared" si="0"/>
        <v>0</v>
      </c>
    </row>
    <row r="49" spans="1:7" ht="26.5">
      <c r="A49" s="18" t="s">
        <v>88</v>
      </c>
      <c r="B49" s="19" t="s">
        <v>81</v>
      </c>
      <c r="C49" s="24" t="s">
        <v>89</v>
      </c>
      <c r="D49" s="12">
        <f>102300+45600</f>
        <v>147900</v>
      </c>
      <c r="E49" s="12">
        <v>0</v>
      </c>
      <c r="F49" s="12">
        <f t="shared" si="6"/>
        <v>147900</v>
      </c>
      <c r="G49" s="27">
        <f t="shared" si="0"/>
        <v>0</v>
      </c>
    </row>
    <row r="50" spans="1:7">
      <c r="A50" s="18" t="s">
        <v>90</v>
      </c>
      <c r="B50" s="19" t="s">
        <v>82</v>
      </c>
      <c r="C50" s="24" t="s">
        <v>91</v>
      </c>
      <c r="D50" s="12">
        <f>114100+63700+52700</f>
        <v>230500</v>
      </c>
      <c r="E50" s="12">
        <v>0</v>
      </c>
      <c r="F50" s="12">
        <f t="shared" si="6"/>
        <v>230500</v>
      </c>
      <c r="G50" s="27">
        <f t="shared" si="0"/>
        <v>0</v>
      </c>
    </row>
    <row r="51" spans="1:7">
      <c r="A51" s="16" t="s">
        <v>92</v>
      </c>
      <c r="B51" s="17" t="s">
        <v>83</v>
      </c>
      <c r="C51" s="24" t="s">
        <v>93</v>
      </c>
      <c r="D51" s="12">
        <f>23200+6300</f>
        <v>29500</v>
      </c>
      <c r="E51" s="12">
        <v>0</v>
      </c>
      <c r="F51" s="12">
        <f t="shared" si="6"/>
        <v>29500</v>
      </c>
      <c r="G51" s="27">
        <f t="shared" si="0"/>
        <v>0</v>
      </c>
    </row>
    <row r="52" spans="1:7" ht="26.5">
      <c r="A52" s="16" t="s">
        <v>94</v>
      </c>
      <c r="B52" s="17" t="s">
        <v>84</v>
      </c>
      <c r="C52" s="24" t="s">
        <v>95</v>
      </c>
      <c r="D52" s="12">
        <f>9500+141400</f>
        <v>150900</v>
      </c>
      <c r="E52" s="12">
        <f>9000</f>
        <v>9000</v>
      </c>
      <c r="F52" s="12">
        <f t="shared" si="6"/>
        <v>141900</v>
      </c>
      <c r="G52" s="27">
        <f t="shared" si="0"/>
        <v>5.9642147117296221E-2</v>
      </c>
    </row>
    <row r="53" spans="1:7" ht="26.5">
      <c r="A53" s="16" t="s">
        <v>96</v>
      </c>
      <c r="B53" s="17" t="s">
        <v>85</v>
      </c>
      <c r="C53" s="24" t="s">
        <v>97</v>
      </c>
      <c r="D53" s="12">
        <f>75800</f>
        <v>75800</v>
      </c>
      <c r="E53" s="12">
        <f>75800</f>
        <v>75800</v>
      </c>
      <c r="F53" s="12">
        <f t="shared" si="6"/>
        <v>0</v>
      </c>
      <c r="G53" s="27">
        <f t="shared" si="0"/>
        <v>1</v>
      </c>
    </row>
    <row r="54" spans="1:7">
      <c r="A54" s="16" t="s">
        <v>135</v>
      </c>
      <c r="B54" s="17" t="s">
        <v>125</v>
      </c>
      <c r="C54" s="13" t="s">
        <v>136</v>
      </c>
      <c r="D54" s="12">
        <f>198200</f>
        <v>198200</v>
      </c>
      <c r="E54" s="12">
        <v>0</v>
      </c>
      <c r="F54" s="12">
        <f t="shared" si="6"/>
        <v>198200</v>
      </c>
      <c r="G54" s="27">
        <f t="shared" si="0"/>
        <v>0</v>
      </c>
    </row>
    <row r="55" spans="1:7" ht="26.5">
      <c r="A55" s="16" t="s">
        <v>137</v>
      </c>
      <c r="B55" s="17" t="s">
        <v>122</v>
      </c>
      <c r="C55" s="13" t="s">
        <v>138</v>
      </c>
      <c r="D55" s="12">
        <f>99400+42400</f>
        <v>141800</v>
      </c>
      <c r="E55" s="12">
        <v>0</v>
      </c>
      <c r="F55" s="12">
        <f t="shared" si="6"/>
        <v>141800</v>
      </c>
      <c r="G55" s="27">
        <f t="shared" si="0"/>
        <v>0</v>
      </c>
    </row>
    <row r="56" spans="1:7">
      <c r="A56" s="16" t="s">
        <v>139</v>
      </c>
      <c r="B56" s="17" t="s">
        <v>130</v>
      </c>
      <c r="C56" s="13" t="s">
        <v>143</v>
      </c>
      <c r="D56" s="12">
        <f>129800</f>
        <v>129800</v>
      </c>
      <c r="E56" s="12">
        <v>0</v>
      </c>
      <c r="F56" s="12">
        <f t="shared" si="6"/>
        <v>129800</v>
      </c>
      <c r="G56" s="27">
        <f t="shared" si="0"/>
        <v>0</v>
      </c>
    </row>
    <row r="57" spans="1:7">
      <c r="A57" s="16" t="s">
        <v>140</v>
      </c>
      <c r="B57" s="17" t="s">
        <v>131</v>
      </c>
      <c r="C57" s="13" t="s">
        <v>141</v>
      </c>
      <c r="D57" s="12">
        <f>180000</f>
        <v>180000</v>
      </c>
      <c r="E57" s="12">
        <v>0</v>
      </c>
      <c r="F57" s="12">
        <f t="shared" si="6"/>
        <v>180000</v>
      </c>
      <c r="G57" s="27">
        <f t="shared" si="0"/>
        <v>0</v>
      </c>
    </row>
    <row r="58" spans="1:7">
      <c r="A58" s="16"/>
      <c r="B58" s="17"/>
      <c r="C58" s="30" t="s">
        <v>129</v>
      </c>
      <c r="D58" s="31">
        <f>SUM(D38:D57)</f>
        <v>5459800</v>
      </c>
      <c r="E58" s="31">
        <f t="shared" ref="E58:F58" si="7">SUM(E38:E57)</f>
        <v>1715440.48</v>
      </c>
      <c r="F58" s="31">
        <f t="shared" si="7"/>
        <v>3744359.52</v>
      </c>
      <c r="G58" s="27">
        <f t="shared" si="0"/>
        <v>0.3141947470603319</v>
      </c>
    </row>
    <row r="59" spans="1:7">
      <c r="A59" s="16"/>
      <c r="B59" s="17"/>
      <c r="C59" s="30"/>
      <c r="D59" s="31"/>
      <c r="E59" s="31"/>
      <c r="F59" s="31"/>
      <c r="G59" s="27"/>
    </row>
    <row r="60" spans="1:7">
      <c r="A60" s="16"/>
      <c r="B60" s="17"/>
      <c r="C60" s="28" t="s">
        <v>144</v>
      </c>
      <c r="D60" s="12"/>
      <c r="E60" s="12"/>
      <c r="F60" s="3"/>
      <c r="G60" s="27"/>
    </row>
    <row r="61" spans="1:7">
      <c r="A61" s="16" t="s">
        <v>102</v>
      </c>
      <c r="B61" s="17" t="s">
        <v>52</v>
      </c>
      <c r="C61" s="13" t="s">
        <v>103</v>
      </c>
      <c r="D61" s="12">
        <f>204600+397700+71400</f>
        <v>673700</v>
      </c>
      <c r="E61" s="12">
        <v>0</v>
      </c>
      <c r="F61" s="12">
        <f t="shared" ref="F61:F69" si="8">D61-E61</f>
        <v>673700</v>
      </c>
      <c r="G61" s="27">
        <f t="shared" si="0"/>
        <v>0</v>
      </c>
    </row>
    <row r="62" spans="1:7">
      <c r="A62" s="18" t="s">
        <v>104</v>
      </c>
      <c r="B62" s="19" t="s">
        <v>53</v>
      </c>
      <c r="C62" s="22" t="s">
        <v>105</v>
      </c>
      <c r="D62" s="23">
        <f>76700+120650+121050</f>
        <v>318400</v>
      </c>
      <c r="E62" s="23">
        <f>76610+115232.55+121000</f>
        <v>312842.55</v>
      </c>
      <c r="F62" s="12">
        <f t="shared" si="8"/>
        <v>5557.4500000000116</v>
      </c>
      <c r="G62" s="27">
        <f t="shared" si="0"/>
        <v>0.9825456972361809</v>
      </c>
    </row>
    <row r="63" spans="1:7">
      <c r="A63" s="16" t="s">
        <v>106</v>
      </c>
      <c r="B63" s="17" t="s">
        <v>54</v>
      </c>
      <c r="C63" s="13" t="s">
        <v>107</v>
      </c>
      <c r="D63" s="12">
        <f>100500+21000</f>
        <v>121500</v>
      </c>
      <c r="E63" s="12">
        <f>100450+21000</f>
        <v>121450</v>
      </c>
      <c r="F63" s="12">
        <f t="shared" si="8"/>
        <v>50</v>
      </c>
      <c r="G63" s="27">
        <f t="shared" si="0"/>
        <v>0.99958847736625511</v>
      </c>
    </row>
    <row r="64" spans="1:7">
      <c r="A64" s="16" t="s">
        <v>108</v>
      </c>
      <c r="B64" s="17" t="s">
        <v>55</v>
      </c>
      <c r="C64" s="13" t="s">
        <v>109</v>
      </c>
      <c r="D64" s="12">
        <f>727259.5+377663+23077.5</f>
        <v>1128000</v>
      </c>
      <c r="E64" s="12">
        <f>422777.5+364773+63000</f>
        <v>850550.5</v>
      </c>
      <c r="F64" s="12">
        <f t="shared" si="8"/>
        <v>277449.5</v>
      </c>
      <c r="G64" s="27">
        <f t="shared" si="0"/>
        <v>0.75403413120567375</v>
      </c>
    </row>
    <row r="65" spans="1:7">
      <c r="A65" s="16" t="s">
        <v>110</v>
      </c>
      <c r="B65" s="17" t="s">
        <v>56</v>
      </c>
      <c r="C65" s="13" t="s">
        <v>111</v>
      </c>
      <c r="D65" s="12">
        <f>1140400+849700</f>
        <v>1990100</v>
      </c>
      <c r="E65" s="12">
        <f>1140345.9+849678</f>
        <v>1990023.9</v>
      </c>
      <c r="F65" s="12">
        <f t="shared" si="8"/>
        <v>76.100000000093132</v>
      </c>
      <c r="G65" s="27">
        <f t="shared" si="0"/>
        <v>0.99996176071554188</v>
      </c>
    </row>
    <row r="66" spans="1:7">
      <c r="A66" s="16" t="s">
        <v>113</v>
      </c>
      <c r="B66" s="17" t="s">
        <v>77</v>
      </c>
      <c r="C66" s="13" t="s">
        <v>112</v>
      </c>
      <c r="D66" s="12">
        <f>269000</f>
        <v>269000</v>
      </c>
      <c r="E66" s="12">
        <f>268947.78</f>
        <v>268947.78000000003</v>
      </c>
      <c r="F66" s="12">
        <f t="shared" si="8"/>
        <v>52.21999999997206</v>
      </c>
      <c r="G66" s="27">
        <f t="shared" si="0"/>
        <v>0.99980587360594808</v>
      </c>
    </row>
    <row r="67" spans="1:7" ht="26.5">
      <c r="A67" s="18" t="s">
        <v>114</v>
      </c>
      <c r="B67" s="19" t="s">
        <v>78</v>
      </c>
      <c r="C67" s="13" t="s">
        <v>115</v>
      </c>
      <c r="D67" s="12">
        <f>3159500</f>
        <v>3159500</v>
      </c>
      <c r="E67" s="12">
        <f>3159492.04</f>
        <v>3159492.04</v>
      </c>
      <c r="F67" s="12">
        <f t="shared" si="8"/>
        <v>7.9599999999627471</v>
      </c>
      <c r="G67" s="27">
        <f t="shared" si="0"/>
        <v>0.99999748061402127</v>
      </c>
    </row>
    <row r="68" spans="1:7">
      <c r="A68" s="16" t="s">
        <v>116</v>
      </c>
      <c r="B68" s="17" t="s">
        <v>79</v>
      </c>
      <c r="C68" s="13" t="s">
        <v>117</v>
      </c>
      <c r="D68" s="12">
        <f>750800</f>
        <v>750800</v>
      </c>
      <c r="E68" s="12">
        <f>741988.4</f>
        <v>741988.4</v>
      </c>
      <c r="F68" s="12">
        <f t="shared" si="8"/>
        <v>8811.5999999999767</v>
      </c>
      <c r="G68" s="27">
        <f t="shared" si="0"/>
        <v>0.98826371870005336</v>
      </c>
    </row>
    <row r="69" spans="1:7">
      <c r="A69" s="16"/>
      <c r="B69" s="17" t="s">
        <v>121</v>
      </c>
      <c r="C69" s="24" t="s">
        <v>119</v>
      </c>
      <c r="D69" s="12">
        <f>263200+132000+28800</f>
        <v>424000</v>
      </c>
      <c r="E69" s="12">
        <v>21000</v>
      </c>
      <c r="F69" s="12">
        <f t="shared" si="8"/>
        <v>403000</v>
      </c>
      <c r="G69" s="27">
        <f t="shared" si="0"/>
        <v>4.9528301886792456E-2</v>
      </c>
    </row>
    <row r="70" spans="1:7">
      <c r="A70" s="16"/>
      <c r="B70" s="17"/>
      <c r="C70" s="30" t="s">
        <v>129</v>
      </c>
      <c r="D70" s="31">
        <f>SUM(D61:D69)</f>
        <v>8835000</v>
      </c>
      <c r="E70" s="31">
        <f t="shared" ref="E70:F70" si="9">SUM(E61:E69)</f>
        <v>7466295.1700000009</v>
      </c>
      <c r="F70" s="31">
        <f t="shared" si="9"/>
        <v>1368704.83</v>
      </c>
      <c r="G70" s="27">
        <f t="shared" si="0"/>
        <v>0.84508151329937753</v>
      </c>
    </row>
    <row r="71" spans="1:7">
      <c r="A71" s="16"/>
      <c r="B71" s="17"/>
      <c r="C71" s="24"/>
      <c r="D71" s="12"/>
      <c r="E71" s="12"/>
      <c r="F71" s="3"/>
      <c r="G71" s="27"/>
    </row>
    <row r="72" spans="1:7">
      <c r="A72" s="16"/>
      <c r="B72" s="17"/>
      <c r="C72" s="28" t="s">
        <v>145</v>
      </c>
      <c r="D72" s="12"/>
      <c r="E72" s="12"/>
      <c r="F72" s="3"/>
      <c r="G72" s="27"/>
    </row>
    <row r="73" spans="1:7" ht="25.5" customHeight="1">
      <c r="A73" s="16" t="s">
        <v>98</v>
      </c>
      <c r="B73" s="17" t="s">
        <v>30</v>
      </c>
      <c r="C73" s="13" t="s">
        <v>99</v>
      </c>
      <c r="D73" s="12">
        <v>42300</v>
      </c>
      <c r="E73" s="12">
        <v>0</v>
      </c>
      <c r="F73" s="3">
        <f>D73-E73</f>
        <v>42300</v>
      </c>
      <c r="G73" s="27">
        <f t="shared" ref="G73:G75" si="10">E73/D73</f>
        <v>0</v>
      </c>
    </row>
    <row r="74" spans="1:7" ht="25.5" customHeight="1">
      <c r="A74" s="16" t="s">
        <v>100</v>
      </c>
      <c r="B74" s="17" t="s">
        <v>31</v>
      </c>
      <c r="C74" s="13" t="s">
        <v>101</v>
      </c>
      <c r="D74" s="12">
        <v>45100</v>
      </c>
      <c r="E74" s="12">
        <v>0</v>
      </c>
      <c r="F74" s="3">
        <f>D74-E74</f>
        <v>45100</v>
      </c>
      <c r="G74" s="27">
        <f t="shared" si="10"/>
        <v>0</v>
      </c>
    </row>
    <row r="75" spans="1:7" ht="25.5" customHeight="1">
      <c r="A75" s="16"/>
      <c r="B75" s="26"/>
      <c r="C75" s="30" t="s">
        <v>129</v>
      </c>
      <c r="D75" s="31">
        <f>D73+D74</f>
        <v>87400</v>
      </c>
      <c r="E75" s="31">
        <f t="shared" ref="E75:F75" si="11">E73+E74</f>
        <v>0</v>
      </c>
      <c r="F75" s="31">
        <f t="shared" si="11"/>
        <v>87400</v>
      </c>
      <c r="G75" s="27">
        <f t="shared" si="10"/>
        <v>0</v>
      </c>
    </row>
    <row r="76" spans="1:7">
      <c r="A76" s="32"/>
      <c r="B76" s="33"/>
      <c r="C76" s="34"/>
      <c r="D76" s="35"/>
      <c r="E76" s="36"/>
      <c r="F76" s="36"/>
    </row>
    <row r="77" spans="1:7">
      <c r="C77" s="5"/>
      <c r="D77" s="2"/>
      <c r="E77" s="1"/>
      <c r="F77" s="1"/>
    </row>
    <row r="78" spans="1:7">
      <c r="C78" s="8"/>
      <c r="D78" s="2"/>
      <c r="E78" s="1"/>
      <c r="F78" s="1"/>
    </row>
    <row r="79" spans="1:7">
      <c r="C79" s="1"/>
      <c r="D79" s="2"/>
      <c r="E79" s="1"/>
      <c r="F79" s="1"/>
    </row>
    <row r="80" spans="1:7" ht="45.5" customHeight="1">
      <c r="C80" s="1"/>
      <c r="D80" s="40"/>
      <c r="E80" s="1"/>
      <c r="F80" s="1"/>
    </row>
    <row r="81" spans="3:6">
      <c r="C81" s="1"/>
      <c r="D81" s="38"/>
      <c r="E81" s="1"/>
      <c r="F81" s="1"/>
    </row>
    <row r="82" spans="3:6">
      <c r="C82" s="1"/>
      <c r="D82" s="38"/>
      <c r="E82" s="1"/>
      <c r="F82" s="1"/>
    </row>
    <row r="83" spans="3:6">
      <c r="C83" s="1"/>
      <c r="D83" s="38"/>
      <c r="E83" s="1"/>
      <c r="F83" s="1"/>
    </row>
    <row r="84" spans="3:6">
      <c r="C84" s="1"/>
      <c r="D84" s="38"/>
      <c r="E84" s="1"/>
      <c r="F84" s="1"/>
    </row>
    <row r="85" spans="3:6">
      <c r="C85" s="1"/>
      <c r="D85" s="38"/>
      <c r="E85" s="1"/>
      <c r="F85" s="1"/>
    </row>
    <row r="87" spans="3:6">
      <c r="D87" s="39"/>
      <c r="E87" s="1"/>
      <c r="F87" s="1"/>
    </row>
  </sheetData>
  <mergeCells count="1">
    <mergeCell ref="A2:F2"/>
  </mergeCells>
  <pageMargins left="0.19685039370078741" right="0.19685039370078741" top="0.19685039370078741" bottom="0.39370078740157483" header="0.19685039370078741" footer="0.19685039370078741"/>
  <pageSetup paperSize="9" scale="75" orientation="portrait" horizontalDpi="180" verticalDpi="180" r:id="rId1"/>
  <headerFooter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12.12.2014</vt:lpstr>
      <vt:lpstr>'на 12.12.2014'!Заголовки_для_печати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2014-12-12T09:02:31Z</dcterms:modified>
</cp:coreProperties>
</file>